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ต.ค.59" sheetId="1" r:id="rId1"/>
    <sheet name="DATA ต.ค.59" sheetId="9" r:id="rId2"/>
  </sheets>
  <calcPr calcId="144525"/>
</workbook>
</file>

<file path=xl/calcChain.xml><?xml version="1.0" encoding="utf-8"?>
<calcChain xmlns="http://schemas.openxmlformats.org/spreadsheetml/2006/main">
  <c r="AA34" i="9" l="1"/>
  <c r="AA33" i="9"/>
  <c r="AA32" i="9"/>
  <c r="AA31" i="9"/>
  <c r="AA30" i="9"/>
  <c r="AA29" i="9"/>
  <c r="AA28" i="9"/>
  <c r="AA27" i="9"/>
  <c r="AA26" i="9"/>
  <c r="AA25" i="9"/>
  <c r="AA24" i="9"/>
  <c r="AA23" i="9"/>
  <c r="AA22" i="9"/>
  <c r="AA21" i="9"/>
  <c r="AA20" i="9"/>
  <c r="H19" i="9"/>
  <c r="G19" i="9"/>
  <c r="Y18" i="9"/>
  <c r="W18" i="9"/>
  <c r="V18" i="9"/>
  <c r="U18" i="9"/>
  <c r="T18" i="9"/>
  <c r="S18" i="9"/>
  <c r="R18" i="9"/>
  <c r="Q18" i="9"/>
  <c r="P18" i="9"/>
  <c r="M18" i="9"/>
  <c r="K18" i="9"/>
  <c r="O18" i="9" s="1"/>
  <c r="G18" i="9"/>
  <c r="F18" i="9"/>
  <c r="J18" i="9" s="1"/>
  <c r="AA18" i="9" s="1"/>
  <c r="Y17" i="9"/>
  <c r="T17" i="9"/>
  <c r="S17" i="9"/>
  <c r="V17" i="9" s="1"/>
  <c r="Q17" i="9"/>
  <c r="P17" i="9"/>
  <c r="R17" i="9" s="1"/>
  <c r="M17" i="9"/>
  <c r="K17" i="9"/>
  <c r="O17" i="9" s="1"/>
  <c r="J17" i="9"/>
  <c r="AA17" i="9" s="1"/>
  <c r="C17" i="9"/>
  <c r="T16" i="9"/>
  <c r="S16" i="9"/>
  <c r="V16" i="9" s="1"/>
  <c r="Q16" i="9"/>
  <c r="P16" i="9"/>
  <c r="R16" i="9" s="1"/>
  <c r="O16" i="9"/>
  <c r="M16" i="9"/>
  <c r="K16" i="9"/>
  <c r="J16" i="9"/>
  <c r="C16" i="9"/>
  <c r="Y15" i="9"/>
  <c r="V15" i="9"/>
  <c r="T15" i="9"/>
  <c r="S15" i="9"/>
  <c r="Q15" i="9"/>
  <c r="P15" i="9"/>
  <c r="R15" i="9" s="1"/>
  <c r="N15" i="9"/>
  <c r="N19" i="9" s="1"/>
  <c r="K15" i="9"/>
  <c r="O15" i="9" s="1"/>
  <c r="I15" i="9"/>
  <c r="I19" i="9" s="1"/>
  <c r="G15" i="9"/>
  <c r="F15" i="9"/>
  <c r="F19" i="9" s="1"/>
  <c r="E15" i="9"/>
  <c r="E19" i="9" s="1"/>
  <c r="D15" i="9"/>
  <c r="D19" i="9" s="1"/>
  <c r="C15" i="9"/>
  <c r="J15" i="9" s="1"/>
  <c r="AA15" i="9" s="1"/>
  <c r="Y14" i="9"/>
  <c r="T14" i="9"/>
  <c r="S14" i="9"/>
  <c r="V14" i="9" s="1"/>
  <c r="R14" i="9"/>
  <c r="Q14" i="9"/>
  <c r="P14" i="9"/>
  <c r="O14" i="9"/>
  <c r="M14" i="9"/>
  <c r="K14" i="9"/>
  <c r="C14" i="9"/>
  <c r="J14" i="9" s="1"/>
  <c r="AA14" i="9" s="1"/>
  <c r="Y13" i="9"/>
  <c r="T13" i="9"/>
  <c r="V13" i="9" s="1"/>
  <c r="R13" i="9"/>
  <c r="Q13" i="9"/>
  <c r="P13" i="9"/>
  <c r="O13" i="9"/>
  <c r="M13" i="9"/>
  <c r="K13" i="9"/>
  <c r="C13" i="9"/>
  <c r="J13" i="9" s="1"/>
  <c r="Y12" i="9"/>
  <c r="T12" i="9"/>
  <c r="S12" i="9"/>
  <c r="V12" i="9" s="1"/>
  <c r="Q12" i="9"/>
  <c r="P12" i="9"/>
  <c r="R12" i="9" s="1"/>
  <c r="O12" i="9"/>
  <c r="M12" i="9"/>
  <c r="K12" i="9"/>
  <c r="J12" i="9"/>
  <c r="AA12" i="9" s="1"/>
  <c r="C12" i="9"/>
  <c r="Y11" i="9"/>
  <c r="V11" i="9"/>
  <c r="T11" i="9"/>
  <c r="S11" i="9"/>
  <c r="Q11" i="9"/>
  <c r="P11" i="9"/>
  <c r="R11" i="9" s="1"/>
  <c r="M11" i="9"/>
  <c r="L11" i="9"/>
  <c r="K11" i="9"/>
  <c r="O11" i="9" s="1"/>
  <c r="J11" i="9"/>
  <c r="C11" i="9"/>
  <c r="Y10" i="9"/>
  <c r="W10" i="9"/>
  <c r="U10" i="9"/>
  <c r="T10" i="9"/>
  <c r="S10" i="9"/>
  <c r="V10" i="9" s="1"/>
  <c r="Q10" i="9"/>
  <c r="P10" i="9"/>
  <c r="R10" i="9" s="1"/>
  <c r="M10" i="9"/>
  <c r="L10" i="9"/>
  <c r="K10" i="9"/>
  <c r="O10" i="9" s="1"/>
  <c r="AA10" i="9" s="1"/>
  <c r="J10" i="9"/>
  <c r="C10" i="9"/>
  <c r="Y9" i="9"/>
  <c r="T9" i="9"/>
  <c r="S9" i="9"/>
  <c r="V9" i="9" s="1"/>
  <c r="Q9" i="9"/>
  <c r="R9" i="9" s="1"/>
  <c r="P9" i="9"/>
  <c r="O9" i="9"/>
  <c r="M9" i="9"/>
  <c r="K9" i="9"/>
  <c r="C9" i="9"/>
  <c r="J9" i="9" s="1"/>
  <c r="Y8" i="9"/>
  <c r="W8" i="9"/>
  <c r="W19" i="9" s="1"/>
  <c r="V8" i="9"/>
  <c r="T8" i="9"/>
  <c r="S8" i="9"/>
  <c r="Q8" i="9"/>
  <c r="P8" i="9"/>
  <c r="R8" i="9" s="1"/>
  <c r="M8" i="9"/>
  <c r="K8" i="9"/>
  <c r="O8" i="9" s="1"/>
  <c r="C8" i="9"/>
  <c r="J8" i="9" s="1"/>
  <c r="Y7" i="9"/>
  <c r="U7" i="9"/>
  <c r="T7" i="9"/>
  <c r="S7" i="9"/>
  <c r="V7" i="9" s="1"/>
  <c r="Q7" i="9"/>
  <c r="P7" i="9"/>
  <c r="R7" i="9" s="1"/>
  <c r="O7" i="9"/>
  <c r="M7" i="9"/>
  <c r="K7" i="9"/>
  <c r="C7" i="9"/>
  <c r="J7" i="9" s="1"/>
  <c r="V6" i="9"/>
  <c r="Q6" i="9"/>
  <c r="P6" i="9"/>
  <c r="R6" i="9" s="1"/>
  <c r="M6" i="9"/>
  <c r="K6" i="9"/>
  <c r="O6" i="9" s="1"/>
  <c r="C6" i="9"/>
  <c r="J6" i="9" s="1"/>
  <c r="Y5" i="9"/>
  <c r="U5" i="9"/>
  <c r="T5" i="9"/>
  <c r="S5" i="9"/>
  <c r="V5" i="9" s="1"/>
  <c r="R5" i="9"/>
  <c r="Q5" i="9"/>
  <c r="P5" i="9"/>
  <c r="O5" i="9"/>
  <c r="M5" i="9"/>
  <c r="K5" i="9"/>
  <c r="C5" i="9"/>
  <c r="J5" i="9" s="1"/>
  <c r="AA5" i="9" s="1"/>
  <c r="Z4" i="9"/>
  <c r="Y4" i="9"/>
  <c r="V4" i="9"/>
  <c r="U4" i="9"/>
  <c r="T4" i="9"/>
  <c r="T19" i="9" s="1"/>
  <c r="S4" i="9"/>
  <c r="R4" i="9"/>
  <c r="Q4" i="9"/>
  <c r="P4" i="9"/>
  <c r="M4" i="9"/>
  <c r="L4" i="9"/>
  <c r="O4" i="9" s="1"/>
  <c r="K4" i="9"/>
  <c r="C4" i="9"/>
  <c r="J4" i="9" s="1"/>
  <c r="AA4" i="9" s="1"/>
  <c r="Z3" i="9"/>
  <c r="Z19" i="9" s="1"/>
  <c r="Y3" i="9"/>
  <c r="Y19" i="9" s="1"/>
  <c r="X3" i="9"/>
  <c r="X19" i="9" s="1"/>
  <c r="U3" i="9"/>
  <c r="U19" i="9" s="1"/>
  <c r="S3" i="9"/>
  <c r="V3" i="9" s="1"/>
  <c r="V19" i="9" s="1"/>
  <c r="R3" i="9"/>
  <c r="Q3" i="9"/>
  <c r="Q19" i="9" s="1"/>
  <c r="P3" i="9"/>
  <c r="P19" i="9" s="1"/>
  <c r="M3" i="9"/>
  <c r="M19" i="9" s="1"/>
  <c r="L3" i="9"/>
  <c r="L19" i="9" s="1"/>
  <c r="K3" i="9"/>
  <c r="K19" i="9" s="1"/>
  <c r="C3" i="9"/>
  <c r="J3" i="9" s="1"/>
  <c r="P25" i="1"/>
  <c r="Q25" i="1"/>
  <c r="O25" i="1"/>
  <c r="N25" i="1"/>
  <c r="M25" i="1"/>
  <c r="L25" i="1"/>
  <c r="K25" i="1"/>
  <c r="J25" i="1"/>
  <c r="I25" i="1"/>
  <c r="H25" i="1"/>
  <c r="G25" i="1"/>
  <c r="F25" i="1"/>
  <c r="E25" i="1"/>
  <c r="D25" i="1"/>
  <c r="C24" i="1"/>
  <c r="R24" i="1" s="1"/>
  <c r="C23" i="1"/>
  <c r="R23" i="1" s="1"/>
  <c r="C22" i="1"/>
  <c r="R22" i="1" s="1"/>
  <c r="C21" i="1"/>
  <c r="R21" i="1" s="1"/>
  <c r="C20" i="1"/>
  <c r="R20" i="1" s="1"/>
  <c r="C19" i="1"/>
  <c r="R19" i="1" s="1"/>
  <c r="C18" i="1"/>
  <c r="R18" i="1" s="1"/>
  <c r="C17" i="1"/>
  <c r="R17" i="1" s="1"/>
  <c r="C16" i="1"/>
  <c r="R16" i="1" s="1"/>
  <c r="C15" i="1"/>
  <c r="R15" i="1" s="1"/>
  <c r="C14" i="1"/>
  <c r="R14" i="1" s="1"/>
  <c r="C13" i="1"/>
  <c r="R13" i="1" s="1"/>
  <c r="C12" i="1"/>
  <c r="R12" i="1" s="1"/>
  <c r="C11" i="1"/>
  <c r="R11" i="1" s="1"/>
  <c r="C10" i="1"/>
  <c r="R10" i="1" s="1"/>
  <c r="C9" i="1"/>
  <c r="C25" i="1" s="1"/>
  <c r="R19" i="9" l="1"/>
  <c r="AA7" i="9"/>
  <c r="AA9" i="9"/>
  <c r="AA16" i="9"/>
  <c r="J19" i="9"/>
  <c r="AA3" i="9"/>
  <c r="AA6" i="9"/>
  <c r="AA8" i="9"/>
  <c r="AA11" i="9"/>
  <c r="AA13" i="9"/>
  <c r="C19" i="9"/>
  <c r="S19" i="9"/>
  <c r="O3" i="9"/>
  <c r="O19" i="9" s="1"/>
  <c r="R9" i="1"/>
  <c r="R25" i="1" s="1"/>
  <c r="AA19" i="9" l="1"/>
</calcChain>
</file>

<file path=xl/sharedStrings.xml><?xml version="1.0" encoding="utf-8"?>
<sst xmlns="http://schemas.openxmlformats.org/spreadsheetml/2006/main" count="98" uniqueCount="71">
  <si>
    <t>รหัสหน่วยบริการ</t>
  </si>
  <si>
    <t>หน่วยบริการ</t>
  </si>
  <si>
    <t>กองทุนเหมาจ่ายรายหัว</t>
  </si>
  <si>
    <t>นอกเหมาจ่าย</t>
  </si>
  <si>
    <t>กองทุนผู้ป่วยนอก</t>
  </si>
  <si>
    <t>กองทุนผู้ป่วยใน</t>
  </si>
  <si>
    <t>กองทุนกรณีเฉพาะ</t>
  </si>
  <si>
    <t>กองทุนสร้างเสริมสุขภาพและป้องกันโรค</t>
  </si>
  <si>
    <t>บริการฟื้นฟูสมรรถภาพด้านการแพทย์</t>
  </si>
  <si>
    <t>บริการแพทย์แผนไทย</t>
  </si>
  <si>
    <t>ค่าบริการทางการแพทย์ที่เบิกจ่ายในลักษณะงบลงทุน</t>
  </si>
  <si>
    <t>เงินช่วยเหลือเบื้องต้นผู้ให้และผู้รับบริการ</t>
  </si>
  <si>
    <t>บริการผู้ติดเชื้อ HIV และผู้ป่วยเอดส์</t>
  </si>
  <si>
    <t>บริการผู้ป่วยไตวายเรื้อรัง</t>
  </si>
  <si>
    <t>บริการควบคุมป้องกันและรักษาโรคเรื้อรัง</t>
  </si>
  <si>
    <t>ค่าใช้จ่ายเพิ่มเติมสำหรับหน่วยบริการในพื้นที่กันดาร พื้นที่เสี่ยงภัยและพื้นที่ 3 จังหวัดชายแดนภาคใต้</t>
  </si>
  <si>
    <t>ค่าบริการสาธารณสุขสำหรับผู้สูงอายุที่มีภาวะพึ่งพิง</t>
  </si>
  <si>
    <t>รพศ.อยุธยา</t>
  </si>
  <si>
    <t>รพ.เสนา</t>
  </si>
  <si>
    <t>รพ.ท่าเรือ</t>
  </si>
  <si>
    <t>รพ.สมเด็จฯ</t>
  </si>
  <si>
    <t>รพ.บางไทร</t>
  </si>
  <si>
    <t>รพ.บางบาล</t>
  </si>
  <si>
    <t>รพ.บางปะอิน</t>
  </si>
  <si>
    <t>รพ.บางปะหัน</t>
  </si>
  <si>
    <t>รพ.ผักไห่</t>
  </si>
  <si>
    <t>รพ.ภาชี</t>
  </si>
  <si>
    <t>รพ.ลาดบัวหลวง</t>
  </si>
  <si>
    <t>รพ.วังน้อย</t>
  </si>
  <si>
    <t>รพ.บางซ้าย</t>
  </si>
  <si>
    <t>รพ.อุทัย</t>
  </si>
  <si>
    <t>รพ.มหาราช</t>
  </si>
  <si>
    <t>บ้านแพรก</t>
  </si>
  <si>
    <t>รวมทั้งสิ้น</t>
  </si>
  <si>
    <t>กองทุนผู้ป่วยใน   ปี 59</t>
  </si>
  <si>
    <t>บริการกรณีเฉพาะ</t>
  </si>
  <si>
    <t>OP_CF</t>
  </si>
  <si>
    <t>IP_CF</t>
  </si>
  <si>
    <t>กองทุนเอดส์</t>
  </si>
  <si>
    <t>กองทุนไตวายรื้อรัง ปี 59</t>
  </si>
  <si>
    <t>รวม</t>
  </si>
  <si>
    <t>หมายเหตุ</t>
  </si>
  <si>
    <t>เหมาจ่ายต่อผู้มีสิทธิ</t>
  </si>
  <si>
    <t>พลการ 59</t>
  </si>
  <si>
    <t>ปิดผลงาน 59</t>
  </si>
  <si>
    <t>QOF งวด 2</t>
  </si>
  <si>
    <t>OPPP INDIV59</t>
  </si>
  <si>
    <t>OP REFER59</t>
  </si>
  <si>
    <t>จัดสรรครบขั้นต่ำ</t>
  </si>
  <si>
    <t>IP คงเหลือ 59</t>
  </si>
  <si>
    <t>IP งวดล่าช้า</t>
  </si>
  <si>
    <t>IP พิเศษ</t>
  </si>
  <si>
    <t>สป.สธ.งวดที่ 1/60</t>
  </si>
  <si>
    <t>PPA 59 งวด 2</t>
  </si>
  <si>
    <t>กองทุน Central Reimburse</t>
  </si>
  <si>
    <t>TB59-Q04</t>
  </si>
  <si>
    <t>PALLIATIVE-59Y</t>
  </si>
  <si>
    <t>กองทุน CF</t>
  </si>
  <si>
    <t>OP CF</t>
  </si>
  <si>
    <t>IP CF</t>
  </si>
  <si>
    <t>รายงานสรุปการจัดสรรเงินโอนจาก สปสช.</t>
  </si>
  <si>
    <t>ประจำเดือนตุลาคม 2559</t>
  </si>
  <si>
    <t>หักหนี้คงค้าง 25619.79</t>
  </si>
  <si>
    <t>หักชะลอการโอน 2,660</t>
  </si>
  <si>
    <t>หักหนี้คงค้าง 3,000</t>
  </si>
  <si>
    <t>หักหนี้คงค้าง 2,400 หักชะลอการโอน 1740</t>
  </si>
  <si>
    <t>หักหนี้คงค้าง 30,200</t>
  </si>
  <si>
    <t>หักหนี้คงค้าง 19,038</t>
  </si>
  <si>
    <t>หักหนี้คงค้าง 1,573,717.76</t>
  </si>
  <si>
    <t>หักชะลอการโอน 13,281</t>
  </si>
  <si>
    <t>หักหนี้คงค้าง 2,253,800.36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</si>
</sst>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Angsana New"/>
      <family val="1"/>
    </font>
    <font>
      <sz val="26"/>
      <color theme="1"/>
      <name val="Angsana New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43" fontId="2" fillId="0" borderId="1" xfId="1" applyFont="1" applyBorder="1"/>
    <xf numFmtId="0" fontId="2" fillId="0" borderId="0" xfId="0" applyFont="1" applyAlignment="1">
      <alignment horizontal="left"/>
    </xf>
    <xf numFmtId="0" fontId="2" fillId="0" borderId="2" xfId="0" applyFont="1" applyBorder="1"/>
    <xf numFmtId="43" fontId="2" fillId="0" borderId="2" xfId="1" applyFont="1" applyBorder="1"/>
    <xf numFmtId="43" fontId="2" fillId="0" borderId="2" xfId="0" applyNumberFormat="1" applyFont="1" applyBorder="1"/>
    <xf numFmtId="43" fontId="2" fillId="0" borderId="3" xfId="1" applyFont="1" applyBorder="1"/>
    <xf numFmtId="43" fontId="2" fillId="0" borderId="4" xfId="1" applyFont="1" applyBorder="1"/>
    <xf numFmtId="43" fontId="2" fillId="0" borderId="0" xfId="1" applyFont="1"/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/>
    <xf numFmtId="43" fontId="2" fillId="9" borderId="1" xfId="1" applyFont="1" applyFill="1" applyBorder="1"/>
    <xf numFmtId="43" fontId="2" fillId="0" borderId="1" xfId="1" applyFont="1" applyFill="1" applyBorder="1"/>
    <xf numFmtId="43" fontId="2" fillId="5" borderId="1" xfId="1" applyFont="1" applyFill="1" applyBorder="1" applyAlignment="1">
      <alignment horizontal="center" vertical="center" wrapText="1"/>
    </xf>
    <xf numFmtId="43" fontId="2" fillId="6" borderId="1" xfId="1" applyFont="1" applyFill="1" applyBorder="1" applyAlignment="1">
      <alignment horizontal="center"/>
    </xf>
    <xf numFmtId="43" fontId="2" fillId="7" borderId="1" xfId="1" applyFont="1" applyFill="1" applyBorder="1" applyAlignment="1">
      <alignment horizontal="center" vertical="center" wrapText="1"/>
    </xf>
    <xf numFmtId="43" fontId="2" fillId="8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3" fontId="2" fillId="4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3" fontId="2" fillId="3" borderId="1" xfId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topLeftCell="A4" workbookViewId="0">
      <selection activeCell="E17" sqref="E16:E17"/>
    </sheetView>
  </sheetViews>
  <sheetFormatPr defaultRowHeight="26.25" x14ac:dyDescent="0.55000000000000004"/>
  <cols>
    <col min="1" max="1" width="7.375" style="5" customWidth="1"/>
    <col min="2" max="2" width="14.375" style="1" customWidth="1"/>
    <col min="3" max="4" width="15.875" style="11" customWidth="1"/>
    <col min="5" max="5" width="15.875" style="1" customWidth="1"/>
    <col min="6" max="18" width="15.875" style="11" customWidth="1"/>
    <col min="19" max="16384" width="9" style="1"/>
  </cols>
  <sheetData>
    <row r="1" spans="1:18" ht="37.5" x14ac:dyDescent="0.75">
      <c r="A1" s="23" t="s">
        <v>60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37.5" x14ac:dyDescent="0.75">
      <c r="A2" s="24" t="s">
        <v>61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s="16" customFormat="1" x14ac:dyDescent="0.55000000000000004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x14ac:dyDescent="0.55000000000000004">
      <c r="A4" s="26" t="s">
        <v>0</v>
      </c>
      <c r="B4" s="27" t="s">
        <v>1</v>
      </c>
      <c r="C4" s="28" t="s">
        <v>2</v>
      </c>
      <c r="D4" s="28"/>
      <c r="E4" s="28"/>
      <c r="F4" s="28"/>
      <c r="G4" s="28"/>
      <c r="H4" s="28"/>
      <c r="I4" s="28"/>
      <c r="J4" s="28"/>
      <c r="K4" s="29" t="s">
        <v>3</v>
      </c>
      <c r="L4" s="29"/>
      <c r="M4" s="29"/>
      <c r="N4" s="29"/>
      <c r="O4" s="29"/>
      <c r="P4" s="20" t="s">
        <v>57</v>
      </c>
      <c r="Q4" s="20"/>
      <c r="R4" s="22" t="s">
        <v>40</v>
      </c>
    </row>
    <row r="5" spans="1:18" ht="44.25" customHeight="1" x14ac:dyDescent="0.55000000000000004">
      <c r="A5" s="26"/>
      <c r="B5" s="27"/>
      <c r="C5" s="25" t="s">
        <v>4</v>
      </c>
      <c r="D5" s="25" t="s">
        <v>5</v>
      </c>
      <c r="E5" s="30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19" t="s">
        <v>12</v>
      </c>
      <c r="L5" s="19" t="s">
        <v>13</v>
      </c>
      <c r="M5" s="19" t="s">
        <v>14</v>
      </c>
      <c r="N5" s="19" t="s">
        <v>15</v>
      </c>
      <c r="O5" s="19" t="s">
        <v>16</v>
      </c>
      <c r="P5" s="21" t="s">
        <v>58</v>
      </c>
      <c r="Q5" s="21" t="s">
        <v>59</v>
      </c>
      <c r="R5" s="22"/>
    </row>
    <row r="6" spans="1:18" ht="44.25" customHeight="1" x14ac:dyDescent="0.55000000000000004">
      <c r="A6" s="26"/>
      <c r="B6" s="27"/>
      <c r="C6" s="25"/>
      <c r="D6" s="25"/>
      <c r="E6" s="30"/>
      <c r="F6" s="25"/>
      <c r="G6" s="25"/>
      <c r="H6" s="25"/>
      <c r="I6" s="25"/>
      <c r="J6" s="25"/>
      <c r="K6" s="19"/>
      <c r="L6" s="19"/>
      <c r="M6" s="19"/>
      <c r="N6" s="19"/>
      <c r="O6" s="19"/>
      <c r="P6" s="21"/>
      <c r="Q6" s="21"/>
      <c r="R6" s="22"/>
    </row>
    <row r="7" spans="1:18" ht="44.25" customHeight="1" x14ac:dyDescent="0.55000000000000004">
      <c r="A7" s="26"/>
      <c r="B7" s="27"/>
      <c r="C7" s="25"/>
      <c r="D7" s="25"/>
      <c r="E7" s="30"/>
      <c r="F7" s="25"/>
      <c r="G7" s="25"/>
      <c r="H7" s="25"/>
      <c r="I7" s="25"/>
      <c r="J7" s="25"/>
      <c r="K7" s="19"/>
      <c r="L7" s="19"/>
      <c r="M7" s="19"/>
      <c r="N7" s="19"/>
      <c r="O7" s="19"/>
      <c r="P7" s="21"/>
      <c r="Q7" s="21"/>
      <c r="R7" s="22"/>
    </row>
    <row r="8" spans="1:18" ht="44.25" customHeight="1" x14ac:dyDescent="0.55000000000000004">
      <c r="A8" s="26"/>
      <c r="B8" s="27"/>
      <c r="C8" s="25"/>
      <c r="D8" s="25"/>
      <c r="E8" s="30"/>
      <c r="F8" s="25"/>
      <c r="G8" s="25"/>
      <c r="H8" s="25"/>
      <c r="I8" s="25"/>
      <c r="J8" s="25"/>
      <c r="K8" s="19"/>
      <c r="L8" s="19"/>
      <c r="M8" s="19"/>
      <c r="N8" s="19"/>
      <c r="O8" s="19"/>
      <c r="P8" s="21"/>
      <c r="Q8" s="21"/>
      <c r="R8" s="22"/>
    </row>
    <row r="9" spans="1:18" x14ac:dyDescent="0.55000000000000004">
      <c r="A9" s="2">
        <v>10660</v>
      </c>
      <c r="B9" s="3" t="s">
        <v>17</v>
      </c>
      <c r="C9" s="4">
        <f>24293999.68</f>
        <v>24293999.68</v>
      </c>
      <c r="D9" s="4">
        <v>14158749.59</v>
      </c>
      <c r="E9" s="4">
        <v>5099146.0600000005</v>
      </c>
      <c r="F9" s="4">
        <v>18753070.149999999</v>
      </c>
      <c r="G9" s="4"/>
      <c r="H9" s="4"/>
      <c r="I9" s="4"/>
      <c r="J9" s="4"/>
      <c r="K9" s="4">
        <v>618516</v>
      </c>
      <c r="L9" s="4">
        <v>1391761</v>
      </c>
      <c r="M9" s="4"/>
      <c r="N9" s="4"/>
      <c r="O9" s="4"/>
      <c r="P9" s="4"/>
      <c r="Q9" s="4">
        <v>13315259.470000001</v>
      </c>
      <c r="R9" s="4">
        <f>SUM(C9:Q9)</f>
        <v>77630501.950000003</v>
      </c>
    </row>
    <row r="10" spans="1:18" x14ac:dyDescent="0.55000000000000004">
      <c r="A10" s="2">
        <v>10688</v>
      </c>
      <c r="B10" s="3" t="s">
        <v>18</v>
      </c>
      <c r="C10" s="4">
        <f>10937794.76</f>
        <v>10937794.76</v>
      </c>
      <c r="D10" s="4">
        <v>3795476.24</v>
      </c>
      <c r="E10" s="4">
        <v>909592.32</v>
      </c>
      <c r="F10" s="4">
        <v>3631669.57</v>
      </c>
      <c r="G10" s="4"/>
      <c r="H10" s="4"/>
      <c r="I10" s="4"/>
      <c r="J10" s="4"/>
      <c r="K10" s="4">
        <v>120687</v>
      </c>
      <c r="L10" s="4">
        <v>300550</v>
      </c>
      <c r="M10" s="4"/>
      <c r="N10" s="4"/>
      <c r="O10" s="4"/>
      <c r="P10" s="4"/>
      <c r="Q10" s="4">
        <v>4048229.72</v>
      </c>
      <c r="R10" s="4">
        <f t="shared" ref="R10:R24" si="0">SUM(C10:Q10)</f>
        <v>23743999.609999999</v>
      </c>
    </row>
    <row r="11" spans="1:18" x14ac:dyDescent="0.55000000000000004">
      <c r="A11" s="2">
        <v>10768</v>
      </c>
      <c r="B11" s="3" t="s">
        <v>19</v>
      </c>
      <c r="C11" s="4">
        <f>6886598.14</f>
        <v>6886598.1399999997</v>
      </c>
      <c r="D11" s="4">
        <v>666164.21</v>
      </c>
      <c r="E11" s="4">
        <v>88859.24</v>
      </c>
      <c r="F11" s="4">
        <v>3616520.87</v>
      </c>
      <c r="G11" s="4"/>
      <c r="H11" s="4"/>
      <c r="I11" s="4"/>
      <c r="J11" s="4"/>
      <c r="K11" s="4">
        <v>8718</v>
      </c>
      <c r="L11" s="4"/>
      <c r="M11" s="4"/>
      <c r="N11" s="4"/>
      <c r="O11" s="4"/>
      <c r="P11" s="4"/>
      <c r="Q11" s="4"/>
      <c r="R11" s="4">
        <f t="shared" si="0"/>
        <v>11266860.460000001</v>
      </c>
    </row>
    <row r="12" spans="1:18" x14ac:dyDescent="0.55000000000000004">
      <c r="A12" s="2">
        <v>10769</v>
      </c>
      <c r="B12" s="3" t="s">
        <v>20</v>
      </c>
      <c r="C12" s="4">
        <f>6829233.3</f>
        <v>6829233.2999999998</v>
      </c>
      <c r="D12" s="4">
        <v>577635.03</v>
      </c>
      <c r="E12" s="4">
        <v>0</v>
      </c>
      <c r="F12" s="4">
        <v>2657944.7400000002</v>
      </c>
      <c r="G12" s="4"/>
      <c r="H12" s="4"/>
      <c r="I12" s="4"/>
      <c r="J12" s="4"/>
      <c r="K12" s="4">
        <v>9696</v>
      </c>
      <c r="L12" s="4"/>
      <c r="M12" s="4"/>
      <c r="N12" s="4"/>
      <c r="O12" s="4"/>
      <c r="P12" s="4"/>
      <c r="Q12" s="4"/>
      <c r="R12" s="4">
        <f t="shared" si="0"/>
        <v>10074509.07</v>
      </c>
    </row>
    <row r="13" spans="1:18" x14ac:dyDescent="0.55000000000000004">
      <c r="A13" s="2">
        <v>10770</v>
      </c>
      <c r="B13" s="3" t="s">
        <v>21</v>
      </c>
      <c r="C13" s="4">
        <f>6507726.41</f>
        <v>6507726.4100000001</v>
      </c>
      <c r="D13" s="4">
        <v>417719.35</v>
      </c>
      <c r="E13" s="4">
        <v>31558.6</v>
      </c>
      <c r="F13" s="4">
        <v>4434105.57</v>
      </c>
      <c r="G13" s="4"/>
      <c r="H13" s="4"/>
      <c r="I13" s="4"/>
      <c r="J13" s="4"/>
      <c r="K13" s="4">
        <v>15021</v>
      </c>
      <c r="L13" s="4"/>
      <c r="M13" s="4"/>
      <c r="N13" s="4"/>
      <c r="O13" s="4"/>
      <c r="P13" s="4"/>
      <c r="Q13" s="4"/>
      <c r="R13" s="4">
        <f t="shared" si="0"/>
        <v>11406130.93</v>
      </c>
    </row>
    <row r="14" spans="1:18" x14ac:dyDescent="0.55000000000000004">
      <c r="A14" s="2">
        <v>10771</v>
      </c>
      <c r="B14" s="3" t="s">
        <v>22</v>
      </c>
      <c r="C14" s="4">
        <f>3890051.49</f>
        <v>3890051.49</v>
      </c>
      <c r="D14" s="4">
        <v>241622.82</v>
      </c>
      <c r="E14" s="4">
        <v>22065.88</v>
      </c>
      <c r="F14" s="4">
        <v>2661660.77</v>
      </c>
      <c r="G14" s="4"/>
      <c r="H14" s="4"/>
      <c r="I14" s="4"/>
      <c r="J14" s="4"/>
      <c r="K14" s="4">
        <v>1361</v>
      </c>
      <c r="L14" s="4"/>
      <c r="M14" s="4"/>
      <c r="N14" s="4"/>
      <c r="O14" s="4"/>
      <c r="P14" s="4">
        <v>2500000</v>
      </c>
      <c r="Q14" s="4"/>
      <c r="R14" s="4">
        <f t="shared" si="0"/>
        <v>9316761.9600000009</v>
      </c>
    </row>
    <row r="15" spans="1:18" x14ac:dyDescent="0.55000000000000004">
      <c r="A15" s="2">
        <v>10772</v>
      </c>
      <c r="B15" s="3" t="s">
        <v>23</v>
      </c>
      <c r="C15" s="4">
        <f>13551274.44</f>
        <v>13551274.439999999</v>
      </c>
      <c r="D15" s="4">
        <v>847395.05</v>
      </c>
      <c r="E15" s="4">
        <v>103288</v>
      </c>
      <c r="F15" s="4">
        <v>7804155.6400000006</v>
      </c>
      <c r="G15" s="4"/>
      <c r="H15" s="4"/>
      <c r="I15" s="4"/>
      <c r="J15" s="4"/>
      <c r="K15" s="4">
        <v>26929</v>
      </c>
      <c r="L15" s="4"/>
      <c r="M15" s="4"/>
      <c r="N15" s="4"/>
      <c r="O15" s="4"/>
      <c r="P15" s="4"/>
      <c r="Q15" s="4"/>
      <c r="R15" s="4">
        <f t="shared" si="0"/>
        <v>22333042.130000003</v>
      </c>
    </row>
    <row r="16" spans="1:18" x14ac:dyDescent="0.55000000000000004">
      <c r="A16" s="2">
        <v>10773</v>
      </c>
      <c r="B16" s="3" t="s">
        <v>24</v>
      </c>
      <c r="C16" s="4">
        <f>7188986.31</f>
        <v>7188986.3099999996</v>
      </c>
      <c r="D16" s="4">
        <v>535819.43999999994</v>
      </c>
      <c r="E16" s="4">
        <v>24004.59</v>
      </c>
      <c r="F16" s="4">
        <v>3766957.07</v>
      </c>
      <c r="G16" s="4"/>
      <c r="H16" s="4"/>
      <c r="I16" s="4"/>
      <c r="J16" s="4"/>
      <c r="K16" s="4">
        <v>2880</v>
      </c>
      <c r="L16" s="4"/>
      <c r="M16" s="4"/>
      <c r="N16" s="4"/>
      <c r="O16" s="4"/>
      <c r="P16" s="4">
        <v>1000000</v>
      </c>
      <c r="Q16" s="4"/>
      <c r="R16" s="4">
        <f t="shared" si="0"/>
        <v>12518647.41</v>
      </c>
    </row>
    <row r="17" spans="1:18" x14ac:dyDescent="0.55000000000000004">
      <c r="A17" s="2">
        <v>10774</v>
      </c>
      <c r="B17" s="3" t="s">
        <v>25</v>
      </c>
      <c r="C17" s="4">
        <f>8381992.79</f>
        <v>8381992.79</v>
      </c>
      <c r="D17" s="4">
        <v>514068.49000000005</v>
      </c>
      <c r="E17" s="4">
        <v>92216.51</v>
      </c>
      <c r="F17" s="4">
        <v>3717797.73</v>
      </c>
      <c r="G17" s="4"/>
      <c r="H17" s="4"/>
      <c r="I17" s="4"/>
      <c r="J17" s="4"/>
      <c r="K17" s="4">
        <v>5228</v>
      </c>
      <c r="L17" s="4"/>
      <c r="M17" s="4"/>
      <c r="N17" s="4"/>
      <c r="O17" s="4"/>
      <c r="P17" s="4"/>
      <c r="Q17" s="4"/>
      <c r="R17" s="4">
        <f t="shared" si="0"/>
        <v>12711303.52</v>
      </c>
    </row>
    <row r="18" spans="1:18" x14ac:dyDescent="0.55000000000000004">
      <c r="A18" s="2">
        <v>10775</v>
      </c>
      <c r="B18" s="3" t="s">
        <v>26</v>
      </c>
      <c r="C18" s="4">
        <f>5703664.73</f>
        <v>5703664.7300000004</v>
      </c>
      <c r="D18" s="4">
        <v>619085.24</v>
      </c>
      <c r="E18" s="4">
        <v>127186.9</v>
      </c>
      <c r="F18" s="4">
        <v>2704857.39</v>
      </c>
      <c r="G18" s="4"/>
      <c r="H18" s="4"/>
      <c r="I18" s="4"/>
      <c r="J18" s="4"/>
      <c r="K18" s="4">
        <v>9175</v>
      </c>
      <c r="L18" s="4"/>
      <c r="M18" s="4"/>
      <c r="N18" s="4"/>
      <c r="O18" s="4"/>
      <c r="P18" s="4"/>
      <c r="Q18" s="4"/>
      <c r="R18" s="4">
        <f t="shared" si="0"/>
        <v>9163969.2600000016</v>
      </c>
    </row>
    <row r="19" spans="1:18" x14ac:dyDescent="0.55000000000000004">
      <c r="A19" s="2">
        <v>10776</v>
      </c>
      <c r="B19" s="3" t="s">
        <v>27</v>
      </c>
      <c r="C19" s="4">
        <f>7434040.81</f>
        <v>7434040.8099999996</v>
      </c>
      <c r="D19" s="4">
        <v>403403.29000000004</v>
      </c>
      <c r="E19" s="4">
        <v>820</v>
      </c>
      <c r="F19" s="4">
        <v>3720306.31</v>
      </c>
      <c r="G19" s="4"/>
      <c r="H19" s="4"/>
      <c r="I19" s="4"/>
      <c r="J19" s="4"/>
      <c r="K19" s="4">
        <v>13725</v>
      </c>
      <c r="L19" s="4"/>
      <c r="M19" s="4"/>
      <c r="N19" s="4"/>
      <c r="O19" s="4"/>
      <c r="P19" s="4"/>
      <c r="Q19" s="4"/>
      <c r="R19" s="4">
        <f t="shared" si="0"/>
        <v>11572295.41</v>
      </c>
    </row>
    <row r="20" spans="1:18" x14ac:dyDescent="0.55000000000000004">
      <c r="A20" s="2">
        <v>10777</v>
      </c>
      <c r="B20" s="3" t="s">
        <v>28</v>
      </c>
      <c r="C20" s="4">
        <f>13433188.8</f>
        <v>13433188.800000001</v>
      </c>
      <c r="D20" s="4">
        <v>589926.79</v>
      </c>
      <c r="E20" s="4">
        <v>5691.8</v>
      </c>
      <c r="F20" s="4">
        <v>5795084.9899999993</v>
      </c>
      <c r="G20" s="4"/>
      <c r="H20" s="4"/>
      <c r="I20" s="4"/>
      <c r="J20" s="4"/>
      <c r="K20" s="4">
        <v>4784</v>
      </c>
      <c r="L20" s="4"/>
      <c r="M20" s="4"/>
      <c r="N20" s="4"/>
      <c r="O20" s="4"/>
      <c r="P20" s="4"/>
      <c r="Q20" s="4"/>
      <c r="R20" s="4">
        <f t="shared" si="0"/>
        <v>19828676.379999999</v>
      </c>
    </row>
    <row r="21" spans="1:18" x14ac:dyDescent="0.55000000000000004">
      <c r="A21" s="2">
        <v>10778</v>
      </c>
      <c r="B21" s="3" t="s">
        <v>29</v>
      </c>
      <c r="C21" s="4">
        <f>3327155.36</f>
        <v>3327155.36</v>
      </c>
      <c r="D21" s="4">
        <v>358498.3</v>
      </c>
      <c r="E21" s="4">
        <v>15289.55</v>
      </c>
      <c r="F21" s="4">
        <v>1821177.12</v>
      </c>
      <c r="G21" s="4"/>
      <c r="H21" s="4"/>
      <c r="I21" s="4"/>
      <c r="J21" s="4"/>
      <c r="K21" s="4">
        <v>6325</v>
      </c>
      <c r="L21" s="4"/>
      <c r="M21" s="4"/>
      <c r="N21" s="4"/>
      <c r="O21" s="4"/>
      <c r="P21" s="4"/>
      <c r="Q21" s="4"/>
      <c r="R21" s="4">
        <f t="shared" si="0"/>
        <v>5528445.3300000001</v>
      </c>
    </row>
    <row r="22" spans="1:18" x14ac:dyDescent="0.55000000000000004">
      <c r="A22" s="2">
        <v>10779</v>
      </c>
      <c r="B22" s="3" t="s">
        <v>30</v>
      </c>
      <c r="C22" s="4">
        <f>9528862.33</f>
        <v>9528862.3300000001</v>
      </c>
      <c r="D22" s="4">
        <v>527822.37</v>
      </c>
      <c r="E22" s="4">
        <v>48277.27</v>
      </c>
      <c r="F22" s="4">
        <v>4402659.1100000003</v>
      </c>
      <c r="G22" s="4"/>
      <c r="H22" s="4"/>
      <c r="I22" s="4"/>
      <c r="J22" s="4"/>
      <c r="K22" s="4">
        <v>0</v>
      </c>
      <c r="L22" s="4"/>
      <c r="M22" s="4"/>
      <c r="N22" s="4"/>
      <c r="O22" s="4"/>
      <c r="P22" s="4"/>
      <c r="Q22" s="4"/>
      <c r="R22" s="4">
        <f t="shared" si="0"/>
        <v>14507621.079999998</v>
      </c>
    </row>
    <row r="23" spans="1:18" x14ac:dyDescent="0.55000000000000004">
      <c r="A23" s="2">
        <v>10780</v>
      </c>
      <c r="B23" s="3" t="s">
        <v>31</v>
      </c>
      <c r="C23" s="4">
        <f>4045328.8</f>
        <v>4045328.8</v>
      </c>
      <c r="D23" s="4">
        <v>280143.18</v>
      </c>
      <c r="E23" s="4">
        <v>3919.38</v>
      </c>
      <c r="F23" s="4">
        <v>2005798.5</v>
      </c>
      <c r="G23" s="4"/>
      <c r="H23" s="4"/>
      <c r="I23" s="4"/>
      <c r="J23" s="4"/>
      <c r="K23" s="4">
        <v>13499</v>
      </c>
      <c r="L23" s="4"/>
      <c r="M23" s="4"/>
      <c r="N23" s="4"/>
      <c r="O23" s="4"/>
      <c r="P23" s="4"/>
      <c r="Q23" s="4"/>
      <c r="R23" s="4">
        <f t="shared" si="0"/>
        <v>6348688.8599999994</v>
      </c>
    </row>
    <row r="24" spans="1:18" x14ac:dyDescent="0.55000000000000004">
      <c r="A24" s="2">
        <v>10781</v>
      </c>
      <c r="B24" s="3" t="s">
        <v>32</v>
      </c>
      <c r="C24" s="4">
        <f>289556.71</f>
        <v>289556.71000000002</v>
      </c>
      <c r="D24" s="4">
        <v>200667.57</v>
      </c>
      <c r="E24" s="4">
        <v>75009.459999999992</v>
      </c>
      <c r="F24" s="4">
        <v>738328.16999999993</v>
      </c>
      <c r="G24" s="4"/>
      <c r="H24" s="4"/>
      <c r="I24" s="4"/>
      <c r="J24" s="4"/>
      <c r="K24" s="4">
        <v>2683</v>
      </c>
      <c r="L24" s="4"/>
      <c r="M24" s="4"/>
      <c r="N24" s="4"/>
      <c r="O24" s="4"/>
      <c r="P24" s="4">
        <v>4169518.14</v>
      </c>
      <c r="Q24" s="4"/>
      <c r="R24" s="4">
        <f t="shared" si="0"/>
        <v>5475763.0499999998</v>
      </c>
    </row>
    <row r="25" spans="1:18" ht="27" thickBot="1" x14ac:dyDescent="0.6">
      <c r="B25" s="6" t="s">
        <v>33</v>
      </c>
      <c r="C25" s="7">
        <f>SUM(C9:C24)</f>
        <v>132229454.86</v>
      </c>
      <c r="D25" s="7">
        <f>SUM(D9:D24)</f>
        <v>24734196.960000001</v>
      </c>
      <c r="E25" s="8">
        <f>SUM(E9:E24)</f>
        <v>6646925.5599999996</v>
      </c>
      <c r="F25" s="7">
        <f>SUM(F9:F24)</f>
        <v>72232093.700000003</v>
      </c>
      <c r="G25" s="7">
        <f t="shared" ref="G25:R25" si="1">SUM(G9:G24)</f>
        <v>0</v>
      </c>
      <c r="H25" s="7">
        <f t="shared" si="1"/>
        <v>0</v>
      </c>
      <c r="I25" s="7">
        <f t="shared" si="1"/>
        <v>0</v>
      </c>
      <c r="J25" s="7">
        <f t="shared" si="1"/>
        <v>0</v>
      </c>
      <c r="K25" s="9">
        <f t="shared" si="1"/>
        <v>859227</v>
      </c>
      <c r="L25" s="7">
        <f t="shared" si="1"/>
        <v>1692311</v>
      </c>
      <c r="M25" s="10">
        <f t="shared" si="1"/>
        <v>0</v>
      </c>
      <c r="N25" s="7">
        <f t="shared" si="1"/>
        <v>0</v>
      </c>
      <c r="O25" s="7">
        <f t="shared" si="1"/>
        <v>0</v>
      </c>
      <c r="P25" s="7">
        <f t="shared" si="1"/>
        <v>7669518.1400000006</v>
      </c>
      <c r="Q25" s="7">
        <f t="shared" si="1"/>
        <v>17363489.190000001</v>
      </c>
      <c r="R25" s="7">
        <f t="shared" si="1"/>
        <v>263427216.41000003</v>
      </c>
    </row>
    <row r="26" spans="1:18" ht="27" thickTop="1" x14ac:dyDescent="0.55000000000000004"/>
    <row r="39" s="1" customFormat="1" x14ac:dyDescent="0.55000000000000004"/>
    <row r="40" s="1" customFormat="1" x14ac:dyDescent="0.55000000000000004"/>
  </sheetData>
  <mergeCells count="23">
    <mergeCell ref="G5:G8"/>
    <mergeCell ref="H5:H8"/>
    <mergeCell ref="A1:R1"/>
    <mergeCell ref="A2:R2"/>
    <mergeCell ref="I5:I8"/>
    <mergeCell ref="J5:J8"/>
    <mergeCell ref="K5:K8"/>
    <mergeCell ref="L5:L8"/>
    <mergeCell ref="M5:M8"/>
    <mergeCell ref="N5:N8"/>
    <mergeCell ref="A4:A8"/>
    <mergeCell ref="B4:B8"/>
    <mergeCell ref="C4:J4"/>
    <mergeCell ref="K4:O4"/>
    <mergeCell ref="C5:C8"/>
    <mergeCell ref="D5:D8"/>
    <mergeCell ref="E5:E8"/>
    <mergeCell ref="F5:F8"/>
    <mergeCell ref="O5:O8"/>
    <mergeCell ref="P4:Q4"/>
    <mergeCell ref="P5:P8"/>
    <mergeCell ref="Q5:Q8"/>
    <mergeCell ref="R4:R8"/>
  </mergeCells>
  <pageMargins left="0.11811023622047245" right="0.11811023622047245" top="0.35433070866141736" bottom="0.15748031496062992" header="0.31496062992125984" footer="0.31496062992125984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workbookViewId="0">
      <selection sqref="A1:XFD1048576"/>
    </sheetView>
  </sheetViews>
  <sheetFormatPr defaultRowHeight="26.25" x14ac:dyDescent="0.55000000000000004"/>
  <cols>
    <col min="1" max="1" width="7.375" style="5" customWidth="1"/>
    <col min="2" max="2" width="16.125" style="1" customWidth="1"/>
    <col min="3" max="3" width="16.125" style="11" customWidth="1"/>
    <col min="4" max="4" width="9.25" style="11" customWidth="1"/>
    <col min="5" max="5" width="11.25" style="11" customWidth="1"/>
    <col min="6" max="6" width="12.5" style="11" customWidth="1"/>
    <col min="7" max="7" width="14.25" style="11" customWidth="1"/>
    <col min="8" max="8" width="14.75" style="11" customWidth="1"/>
    <col min="9" max="9" width="14.25" style="11" customWidth="1"/>
    <col min="10" max="10" width="16.125" style="11" customWidth="1"/>
    <col min="11" max="15" width="18.125" style="11" customWidth="1"/>
    <col min="16" max="18" width="17.625" style="11" customWidth="1"/>
    <col min="19" max="19" width="15.125" style="11" customWidth="1"/>
    <col min="20" max="20" width="13.625" style="11" customWidth="1"/>
    <col min="21" max="21" width="17.375" style="11" customWidth="1"/>
    <col min="22" max="22" width="19.125" style="11" customWidth="1"/>
    <col min="23" max="23" width="13.625" style="11" customWidth="1"/>
    <col min="24" max="24" width="13.875" style="11" customWidth="1"/>
    <col min="25" max="25" width="12.375" style="11" customWidth="1"/>
    <col min="26" max="26" width="15" style="11" customWidth="1"/>
    <col min="27" max="27" width="16.5" style="11" customWidth="1"/>
    <col min="28" max="28" width="37" style="1" customWidth="1"/>
    <col min="29" max="16384" width="9" style="1"/>
  </cols>
  <sheetData>
    <row r="1" spans="1:28" s="14" customFormat="1" x14ac:dyDescent="0.55000000000000004">
      <c r="A1" s="26" t="s">
        <v>0</v>
      </c>
      <c r="B1" s="27" t="s">
        <v>1</v>
      </c>
      <c r="C1" s="31" t="s">
        <v>4</v>
      </c>
      <c r="D1" s="31"/>
      <c r="E1" s="31"/>
      <c r="F1" s="31"/>
      <c r="G1" s="31"/>
      <c r="H1" s="31"/>
      <c r="I1" s="31"/>
      <c r="J1" s="31"/>
      <c r="K1" s="32" t="s">
        <v>34</v>
      </c>
      <c r="L1" s="32"/>
      <c r="M1" s="32"/>
      <c r="N1" s="32"/>
      <c r="O1" s="32"/>
      <c r="P1" s="31" t="s">
        <v>7</v>
      </c>
      <c r="Q1" s="31"/>
      <c r="R1" s="31"/>
      <c r="S1" s="32" t="s">
        <v>35</v>
      </c>
      <c r="T1" s="32"/>
      <c r="U1" s="32"/>
      <c r="V1" s="32"/>
      <c r="W1" s="31" t="s">
        <v>36</v>
      </c>
      <c r="X1" s="31" t="s">
        <v>37</v>
      </c>
      <c r="Y1" s="31" t="s">
        <v>38</v>
      </c>
      <c r="Z1" s="32" t="s">
        <v>39</v>
      </c>
      <c r="AA1" s="31" t="s">
        <v>40</v>
      </c>
      <c r="AB1" s="27" t="s">
        <v>41</v>
      </c>
    </row>
    <row r="2" spans="1:28" s="14" customFormat="1" ht="52.5" x14ac:dyDescent="0.55000000000000004">
      <c r="A2" s="26"/>
      <c r="B2" s="27"/>
      <c r="C2" s="12" t="s">
        <v>42</v>
      </c>
      <c r="D2" s="12" t="s">
        <v>43</v>
      </c>
      <c r="E2" s="12" t="s">
        <v>44</v>
      </c>
      <c r="F2" s="12" t="s">
        <v>45</v>
      </c>
      <c r="G2" s="12" t="s">
        <v>46</v>
      </c>
      <c r="H2" s="12" t="s">
        <v>47</v>
      </c>
      <c r="I2" s="12" t="s">
        <v>48</v>
      </c>
      <c r="J2" s="12" t="s">
        <v>40</v>
      </c>
      <c r="K2" s="12" t="s">
        <v>49</v>
      </c>
      <c r="L2" s="12" t="s">
        <v>50</v>
      </c>
      <c r="M2" s="12" t="s">
        <v>51</v>
      </c>
      <c r="N2" s="12" t="s">
        <v>44</v>
      </c>
      <c r="O2" s="12" t="s">
        <v>40</v>
      </c>
      <c r="P2" s="13" t="s">
        <v>52</v>
      </c>
      <c r="Q2" s="13" t="s">
        <v>53</v>
      </c>
      <c r="R2" s="13" t="s">
        <v>40</v>
      </c>
      <c r="S2" s="13" t="s">
        <v>54</v>
      </c>
      <c r="T2" s="13" t="s">
        <v>55</v>
      </c>
      <c r="U2" s="13" t="s">
        <v>56</v>
      </c>
      <c r="V2" s="13" t="s">
        <v>40</v>
      </c>
      <c r="W2" s="31"/>
      <c r="X2" s="31"/>
      <c r="Y2" s="31"/>
      <c r="Z2" s="32"/>
      <c r="AA2" s="31"/>
      <c r="AB2" s="27"/>
    </row>
    <row r="3" spans="1:28" x14ac:dyDescent="0.55000000000000004">
      <c r="A3" s="2">
        <v>10660</v>
      </c>
      <c r="B3" s="3" t="s">
        <v>17</v>
      </c>
      <c r="C3" s="4">
        <f>24293999.68</f>
        <v>24293999.68</v>
      </c>
      <c r="D3" s="4"/>
      <c r="E3" s="4"/>
      <c r="F3" s="4"/>
      <c r="G3" s="4"/>
      <c r="H3" s="4"/>
      <c r="I3" s="4"/>
      <c r="J3" s="4">
        <f>SUM(C3:I3)</f>
        <v>24293999.68</v>
      </c>
      <c r="K3" s="4">
        <f>10235916.77</f>
        <v>10235916.77</v>
      </c>
      <c r="L3" s="4">
        <f>1024758.6</f>
        <v>1024758.6</v>
      </c>
      <c r="M3" s="4">
        <f>2898074.22</f>
        <v>2898074.22</v>
      </c>
      <c r="N3" s="4"/>
      <c r="O3" s="4">
        <f>SUM(K3:N3)</f>
        <v>14158749.59</v>
      </c>
      <c r="P3" s="4">
        <f>18633444.15</f>
        <v>18633444.149999999</v>
      </c>
      <c r="Q3" s="4">
        <f>119626</f>
        <v>119626</v>
      </c>
      <c r="R3" s="4">
        <f>SUM(P3:Q3)</f>
        <v>18753070.149999999</v>
      </c>
      <c r="S3" s="4">
        <f>7904.5+357388.21+24784.11+4334644.38+304800</f>
        <v>5029521.2</v>
      </c>
      <c r="T3" s="4">
        <v>23460</v>
      </c>
      <c r="U3" s="4">
        <f>46164.86</f>
        <v>46164.86</v>
      </c>
      <c r="V3" s="4">
        <f>SUM(S3:U3)</f>
        <v>5099146.0600000005</v>
      </c>
      <c r="W3" s="4"/>
      <c r="X3" s="4">
        <f>13315259.47</f>
        <v>13315259.470000001</v>
      </c>
      <c r="Y3" s="4">
        <f>618516</f>
        <v>618516</v>
      </c>
      <c r="Z3" s="4">
        <f>363000+381700+108000+106500+6600+8961+417000</f>
        <v>1391761</v>
      </c>
      <c r="AA3" s="4">
        <f t="shared" ref="AA3:AA18" si="0">J3+O3+R3+V3+W3+X3+Y3+Z3</f>
        <v>77630501.950000003</v>
      </c>
      <c r="AB3" s="3"/>
    </row>
    <row r="4" spans="1:28" x14ac:dyDescent="0.55000000000000004">
      <c r="A4" s="2">
        <v>10688</v>
      </c>
      <c r="B4" s="3" t="s">
        <v>18</v>
      </c>
      <c r="C4" s="4">
        <f>10937794.76</f>
        <v>10937794.76</v>
      </c>
      <c r="D4" s="4"/>
      <c r="E4" s="4"/>
      <c r="F4" s="4"/>
      <c r="G4" s="4"/>
      <c r="H4" s="4"/>
      <c r="I4" s="4"/>
      <c r="J4" s="4">
        <f t="shared" ref="J4:J18" si="1">SUM(C4:I4)</f>
        <v>10937794.76</v>
      </c>
      <c r="K4" s="4">
        <f>3019747.02</f>
        <v>3019747.02</v>
      </c>
      <c r="L4" s="4">
        <f>124266.6</f>
        <v>124266.6</v>
      </c>
      <c r="M4" s="4">
        <f>651462.62</f>
        <v>651462.62</v>
      </c>
      <c r="N4" s="4"/>
      <c r="O4" s="4">
        <f t="shared" ref="O4:O18" si="2">SUM(K4:N4)</f>
        <v>3795476.24</v>
      </c>
      <c r="P4" s="4">
        <f>3571281.57</f>
        <v>3571281.57</v>
      </c>
      <c r="Q4" s="4">
        <f>60388</f>
        <v>60388</v>
      </c>
      <c r="R4" s="4">
        <f t="shared" ref="R4:R18" si="3">SUM(P4:Q4)</f>
        <v>3631669.57</v>
      </c>
      <c r="S4" s="17">
        <f>3010.5+292734.8+96326.36+446299.04</f>
        <v>838370.7</v>
      </c>
      <c r="T4" s="17">
        <f>13400</f>
        <v>13400</v>
      </c>
      <c r="U4" s="17">
        <f>83441.41-25619.79</f>
        <v>57821.62</v>
      </c>
      <c r="V4" s="4">
        <f t="shared" ref="V4:V18" si="4">SUM(S4:U4)</f>
        <v>909592.32</v>
      </c>
      <c r="W4" s="4"/>
      <c r="X4" s="4">
        <v>4048229.72</v>
      </c>
      <c r="Y4" s="4">
        <f>120687</f>
        <v>120687</v>
      </c>
      <c r="Z4" s="4">
        <f>32300+23300+33000+31500+2550+900+177000</f>
        <v>300550</v>
      </c>
      <c r="AA4" s="4">
        <f t="shared" si="0"/>
        <v>23743999.609999999</v>
      </c>
      <c r="AB4" s="3" t="s">
        <v>62</v>
      </c>
    </row>
    <row r="5" spans="1:28" x14ac:dyDescent="0.55000000000000004">
      <c r="A5" s="2">
        <v>10768</v>
      </c>
      <c r="B5" s="3" t="s">
        <v>19</v>
      </c>
      <c r="C5" s="4">
        <f>6886598.14</f>
        <v>6886598.1399999997</v>
      </c>
      <c r="D5" s="4"/>
      <c r="E5" s="4"/>
      <c r="F5" s="4"/>
      <c r="G5" s="4"/>
      <c r="H5" s="4"/>
      <c r="I5" s="4"/>
      <c r="J5" s="4">
        <f t="shared" si="1"/>
        <v>6886598.1399999997</v>
      </c>
      <c r="K5" s="4">
        <f>435373.11</f>
        <v>435373.11</v>
      </c>
      <c r="L5" s="4">
        <v>0</v>
      </c>
      <c r="M5" s="4">
        <f>230791.1</f>
        <v>230791.1</v>
      </c>
      <c r="N5" s="4"/>
      <c r="O5" s="4">
        <f t="shared" si="2"/>
        <v>666164.21</v>
      </c>
      <c r="P5" s="4">
        <f>3575979.27</f>
        <v>3575979.27</v>
      </c>
      <c r="Q5" s="4">
        <f>40541.6</f>
        <v>40541.599999999999</v>
      </c>
      <c r="R5" s="4">
        <f t="shared" si="3"/>
        <v>3616520.87</v>
      </c>
      <c r="S5" s="18">
        <f>252+153+349.2+17100+5611.25+257.4+17600+18814.6+787.05+8012+12065.55</f>
        <v>81002.05</v>
      </c>
      <c r="T5" s="18">
        <f>4320</f>
        <v>4320</v>
      </c>
      <c r="U5" s="18">
        <f>3537.19</f>
        <v>3537.19</v>
      </c>
      <c r="V5" s="4">
        <f t="shared" si="4"/>
        <v>88859.24</v>
      </c>
      <c r="W5" s="4"/>
      <c r="X5" s="4"/>
      <c r="Y5" s="4">
        <f>8718</f>
        <v>8718</v>
      </c>
      <c r="Z5" s="4"/>
      <c r="AA5" s="4">
        <f t="shared" si="0"/>
        <v>11266860.459999999</v>
      </c>
      <c r="AB5" s="3"/>
    </row>
    <row r="6" spans="1:28" x14ac:dyDescent="0.55000000000000004">
      <c r="A6" s="2">
        <v>10769</v>
      </c>
      <c r="B6" s="3" t="s">
        <v>20</v>
      </c>
      <c r="C6" s="4">
        <f>6829233.3</f>
        <v>6829233.2999999998</v>
      </c>
      <c r="D6" s="4"/>
      <c r="E6" s="4"/>
      <c r="F6" s="4"/>
      <c r="G6" s="4"/>
      <c r="H6" s="4"/>
      <c r="I6" s="4"/>
      <c r="J6" s="4">
        <f t="shared" si="1"/>
        <v>6829233.2999999998</v>
      </c>
      <c r="K6" s="4">
        <f>455065.51</f>
        <v>455065.51</v>
      </c>
      <c r="L6" s="4"/>
      <c r="M6" s="4">
        <f>122569.52</f>
        <v>122569.52</v>
      </c>
      <c r="N6" s="4"/>
      <c r="O6" s="4">
        <f t="shared" si="2"/>
        <v>577635.03</v>
      </c>
      <c r="P6" s="4">
        <f>2628252.74</f>
        <v>2628252.7400000002</v>
      </c>
      <c r="Q6" s="4">
        <f>29692</f>
        <v>29692</v>
      </c>
      <c r="R6" s="4">
        <f t="shared" si="3"/>
        <v>2657944.7400000002</v>
      </c>
      <c r="S6" s="18">
        <v>0</v>
      </c>
      <c r="T6" s="17">
        <v>0</v>
      </c>
      <c r="U6" s="18"/>
      <c r="V6" s="4">
        <f t="shared" si="4"/>
        <v>0</v>
      </c>
      <c r="W6" s="4"/>
      <c r="X6" s="4"/>
      <c r="Y6" s="4">
        <v>9696</v>
      </c>
      <c r="Z6" s="4"/>
      <c r="AA6" s="4">
        <f t="shared" si="0"/>
        <v>10074509.07</v>
      </c>
      <c r="AB6" s="3" t="s">
        <v>63</v>
      </c>
    </row>
    <row r="7" spans="1:28" x14ac:dyDescent="0.55000000000000004">
      <c r="A7" s="2">
        <v>10770</v>
      </c>
      <c r="B7" s="3" t="s">
        <v>21</v>
      </c>
      <c r="C7" s="4">
        <f>6507726.41</f>
        <v>6507726.4100000001</v>
      </c>
      <c r="D7" s="4"/>
      <c r="E7" s="4"/>
      <c r="F7" s="4"/>
      <c r="G7" s="4"/>
      <c r="H7" s="4"/>
      <c r="I7" s="4"/>
      <c r="J7" s="4">
        <f t="shared" si="1"/>
        <v>6507726.4100000001</v>
      </c>
      <c r="K7" s="4">
        <f>330914.74</f>
        <v>330914.74</v>
      </c>
      <c r="L7" s="4"/>
      <c r="M7" s="4">
        <f>86804.61</f>
        <v>86804.61</v>
      </c>
      <c r="N7" s="4"/>
      <c r="O7" s="4">
        <f t="shared" si="2"/>
        <v>417719.35</v>
      </c>
      <c r="P7" s="4">
        <f>4394149.57</f>
        <v>4394149.57</v>
      </c>
      <c r="Q7" s="4">
        <f>39956</f>
        <v>39956</v>
      </c>
      <c r="R7" s="4">
        <f t="shared" si="3"/>
        <v>4434105.57</v>
      </c>
      <c r="S7" s="17">
        <f>1833.8+2046.6+10644+4935.2-3000</f>
        <v>16459.599999999999</v>
      </c>
      <c r="T7" s="4">
        <f>2220</f>
        <v>2220</v>
      </c>
      <c r="U7" s="4">
        <f>12879</f>
        <v>12879</v>
      </c>
      <c r="V7" s="4">
        <f t="shared" si="4"/>
        <v>31558.6</v>
      </c>
      <c r="W7" s="4"/>
      <c r="X7" s="4"/>
      <c r="Y7" s="4">
        <f>15021</f>
        <v>15021</v>
      </c>
      <c r="Z7" s="4"/>
      <c r="AA7" s="4">
        <f t="shared" si="0"/>
        <v>11406130.93</v>
      </c>
      <c r="AB7" s="3" t="s">
        <v>64</v>
      </c>
    </row>
    <row r="8" spans="1:28" x14ac:dyDescent="0.55000000000000004">
      <c r="A8" s="2">
        <v>10771</v>
      </c>
      <c r="B8" s="3" t="s">
        <v>22</v>
      </c>
      <c r="C8" s="4">
        <f>3890051.49</f>
        <v>3890051.49</v>
      </c>
      <c r="D8" s="4"/>
      <c r="E8" s="4"/>
      <c r="F8" s="4"/>
      <c r="G8" s="4"/>
      <c r="H8" s="4"/>
      <c r="I8" s="4"/>
      <c r="J8" s="4">
        <f t="shared" si="1"/>
        <v>3890051.49</v>
      </c>
      <c r="K8" s="4">
        <f>188614.32</f>
        <v>188614.32</v>
      </c>
      <c r="L8" s="4"/>
      <c r="M8" s="4">
        <f>53008.5</f>
        <v>53008.5</v>
      </c>
      <c r="N8" s="4"/>
      <c r="O8" s="4">
        <f t="shared" si="2"/>
        <v>241622.82</v>
      </c>
      <c r="P8" s="4">
        <f>2632395.97</f>
        <v>2632395.9700000002</v>
      </c>
      <c r="Q8" s="4">
        <f>29264.8</f>
        <v>29264.799999999999</v>
      </c>
      <c r="R8" s="4">
        <f t="shared" si="3"/>
        <v>2661660.77</v>
      </c>
      <c r="S8" s="17">
        <f>1596+500+3096+1740+60+17473.88-2400</f>
        <v>22065.88</v>
      </c>
      <c r="T8" s="17">
        <f>1740-1740</f>
        <v>0</v>
      </c>
      <c r="U8" s="17"/>
      <c r="V8" s="4">
        <f t="shared" si="4"/>
        <v>22065.88</v>
      </c>
      <c r="W8" s="4">
        <f>2500000</f>
        <v>2500000</v>
      </c>
      <c r="X8" s="4"/>
      <c r="Y8" s="4">
        <f>1361</f>
        <v>1361</v>
      </c>
      <c r="Z8" s="4"/>
      <c r="AA8" s="4">
        <f t="shared" si="0"/>
        <v>9316761.9600000009</v>
      </c>
      <c r="AB8" s="3" t="s">
        <v>65</v>
      </c>
    </row>
    <row r="9" spans="1:28" x14ac:dyDescent="0.55000000000000004">
      <c r="A9" s="2">
        <v>10772</v>
      </c>
      <c r="B9" s="3" t="s">
        <v>23</v>
      </c>
      <c r="C9" s="4">
        <f>13551274.44</f>
        <v>13551274.439999999</v>
      </c>
      <c r="D9" s="4"/>
      <c r="E9" s="4"/>
      <c r="F9" s="4"/>
      <c r="G9" s="4"/>
      <c r="H9" s="4"/>
      <c r="I9" s="4"/>
      <c r="J9" s="4">
        <f t="shared" si="1"/>
        <v>13551274.439999999</v>
      </c>
      <c r="K9" s="4">
        <f>577315.16</f>
        <v>577315.16</v>
      </c>
      <c r="L9" s="4"/>
      <c r="M9" s="4">
        <f>270079.89</f>
        <v>270079.89</v>
      </c>
      <c r="N9" s="4"/>
      <c r="O9" s="4">
        <f t="shared" si="2"/>
        <v>847395.05</v>
      </c>
      <c r="P9" s="4">
        <f>7722493.24</f>
        <v>7722493.2400000002</v>
      </c>
      <c r="Q9" s="4">
        <f>81662.4</f>
        <v>81662.399999999994</v>
      </c>
      <c r="R9" s="4">
        <f t="shared" si="3"/>
        <v>7804155.6400000006</v>
      </c>
      <c r="S9" s="4">
        <f>10230.2+45970.6+9892.2+25898.8+8596.2</f>
        <v>100588</v>
      </c>
      <c r="T9" s="4">
        <f>2700</f>
        <v>2700</v>
      </c>
      <c r="U9" s="4"/>
      <c r="V9" s="4">
        <f t="shared" si="4"/>
        <v>103288</v>
      </c>
      <c r="W9" s="4"/>
      <c r="X9" s="4"/>
      <c r="Y9" s="4">
        <f>26929</f>
        <v>26929</v>
      </c>
      <c r="Z9" s="4"/>
      <c r="AA9" s="4">
        <f t="shared" si="0"/>
        <v>22333042.130000003</v>
      </c>
      <c r="AB9" s="3"/>
    </row>
    <row r="10" spans="1:28" x14ac:dyDescent="0.55000000000000004">
      <c r="A10" s="2">
        <v>10773</v>
      </c>
      <c r="B10" s="3" t="s">
        <v>24</v>
      </c>
      <c r="C10" s="4">
        <f>7188986.31</f>
        <v>7188986.3099999996</v>
      </c>
      <c r="D10" s="4"/>
      <c r="E10" s="4"/>
      <c r="F10" s="4"/>
      <c r="G10" s="4"/>
      <c r="H10" s="4"/>
      <c r="I10" s="4"/>
      <c r="J10" s="4">
        <f t="shared" si="1"/>
        <v>7188986.3099999996</v>
      </c>
      <c r="K10" s="4">
        <f>325795.47</f>
        <v>325795.46999999997</v>
      </c>
      <c r="L10" s="4">
        <f>101224.98</f>
        <v>101224.98</v>
      </c>
      <c r="M10" s="4">
        <f>108798.99</f>
        <v>108798.99</v>
      </c>
      <c r="N10" s="4"/>
      <c r="O10" s="4">
        <f t="shared" si="2"/>
        <v>535819.43999999994</v>
      </c>
      <c r="P10" s="4">
        <f>3730644.27</f>
        <v>3730644.27</v>
      </c>
      <c r="Q10" s="4">
        <f>36312.8</f>
        <v>36312.800000000003</v>
      </c>
      <c r="R10" s="4">
        <f t="shared" si="3"/>
        <v>3766957.07</v>
      </c>
      <c r="S10" s="4">
        <f>2596+13699.4+4455.7</f>
        <v>20751.099999999999</v>
      </c>
      <c r="T10" s="4">
        <f>2800</f>
        <v>2800</v>
      </c>
      <c r="U10" s="4">
        <f>453.49</f>
        <v>453.49</v>
      </c>
      <c r="V10" s="4">
        <f t="shared" si="4"/>
        <v>24004.59</v>
      </c>
      <c r="W10" s="4">
        <f>1000000</f>
        <v>1000000</v>
      </c>
      <c r="X10" s="4"/>
      <c r="Y10" s="4">
        <f>2880</f>
        <v>2880</v>
      </c>
      <c r="Z10" s="4"/>
      <c r="AA10" s="4">
        <f t="shared" si="0"/>
        <v>12518647.41</v>
      </c>
      <c r="AB10" s="3"/>
    </row>
    <row r="11" spans="1:28" x14ac:dyDescent="0.55000000000000004">
      <c r="A11" s="2">
        <v>10774</v>
      </c>
      <c r="B11" s="3" t="s">
        <v>25</v>
      </c>
      <c r="C11" s="4">
        <f>8381992.79</f>
        <v>8381992.79</v>
      </c>
      <c r="D11" s="4"/>
      <c r="E11" s="4"/>
      <c r="F11" s="4"/>
      <c r="G11" s="4"/>
      <c r="H11" s="4"/>
      <c r="I11" s="4"/>
      <c r="J11" s="4">
        <f t="shared" si="1"/>
        <v>8381992.79</v>
      </c>
      <c r="K11" s="4">
        <f>424634.45</f>
        <v>424634.45</v>
      </c>
      <c r="L11" s="4">
        <f>2196.96</f>
        <v>2196.96</v>
      </c>
      <c r="M11" s="4">
        <f>87237.08</f>
        <v>87237.08</v>
      </c>
      <c r="N11" s="4"/>
      <c r="O11" s="4">
        <f t="shared" si="2"/>
        <v>514068.49000000005</v>
      </c>
      <c r="P11" s="4">
        <f>3681168.13</f>
        <v>3681168.13</v>
      </c>
      <c r="Q11" s="4">
        <f>36629.6</f>
        <v>36629.599999999999</v>
      </c>
      <c r="R11" s="4">
        <f t="shared" si="3"/>
        <v>3717797.73</v>
      </c>
      <c r="S11" s="4">
        <f>26400+8032.2+17461.81+38482.5</f>
        <v>90376.51</v>
      </c>
      <c r="T11" s="4">
        <f>1840</f>
        <v>1840</v>
      </c>
      <c r="U11" s="4"/>
      <c r="V11" s="4">
        <f t="shared" si="4"/>
        <v>92216.51</v>
      </c>
      <c r="W11" s="4"/>
      <c r="X11" s="4"/>
      <c r="Y11" s="4">
        <f>5228</f>
        <v>5228</v>
      </c>
      <c r="Z11" s="4"/>
      <c r="AA11" s="4">
        <f t="shared" si="0"/>
        <v>12711303.52</v>
      </c>
      <c r="AB11" s="3"/>
    </row>
    <row r="12" spans="1:28" x14ac:dyDescent="0.55000000000000004">
      <c r="A12" s="2">
        <v>10775</v>
      </c>
      <c r="B12" s="3" t="s">
        <v>26</v>
      </c>
      <c r="C12" s="4">
        <f>5703664.73</f>
        <v>5703664.7300000004</v>
      </c>
      <c r="D12" s="4"/>
      <c r="E12" s="4"/>
      <c r="F12" s="4"/>
      <c r="G12" s="4"/>
      <c r="H12" s="4"/>
      <c r="I12" s="4"/>
      <c r="J12" s="4">
        <f t="shared" si="1"/>
        <v>5703664.7300000004</v>
      </c>
      <c r="K12" s="4">
        <f>477773.44</f>
        <v>477773.44</v>
      </c>
      <c r="L12" s="4"/>
      <c r="M12" s="4">
        <f>141311.8</f>
        <v>141311.79999999999</v>
      </c>
      <c r="N12" s="4"/>
      <c r="O12" s="4">
        <f t="shared" si="2"/>
        <v>619085.24</v>
      </c>
      <c r="P12" s="4">
        <f>2675734.99</f>
        <v>2675734.9900000002</v>
      </c>
      <c r="Q12" s="4">
        <f>29122.4</f>
        <v>29122.400000000001</v>
      </c>
      <c r="R12" s="4">
        <f t="shared" si="3"/>
        <v>2704857.39</v>
      </c>
      <c r="S12" s="4">
        <f>30878.2+41901.3+14967.4+37800</f>
        <v>125546.9</v>
      </c>
      <c r="T12" s="4">
        <f>1640</f>
        <v>1640</v>
      </c>
      <c r="U12" s="4"/>
      <c r="V12" s="4">
        <f t="shared" si="4"/>
        <v>127186.9</v>
      </c>
      <c r="W12" s="4"/>
      <c r="X12" s="4"/>
      <c r="Y12" s="4">
        <f>9175</f>
        <v>9175</v>
      </c>
      <c r="Z12" s="4"/>
      <c r="AA12" s="4">
        <f t="shared" si="0"/>
        <v>9163969.2600000016</v>
      </c>
      <c r="AB12" s="3"/>
    </row>
    <row r="13" spans="1:28" x14ac:dyDescent="0.55000000000000004">
      <c r="A13" s="2">
        <v>10776</v>
      </c>
      <c r="B13" s="3" t="s">
        <v>27</v>
      </c>
      <c r="C13" s="4">
        <f>7434040.81</f>
        <v>7434040.8099999996</v>
      </c>
      <c r="D13" s="4"/>
      <c r="E13" s="4"/>
      <c r="F13" s="4"/>
      <c r="G13" s="4"/>
      <c r="H13" s="4"/>
      <c r="I13" s="4"/>
      <c r="J13" s="4">
        <f t="shared" si="1"/>
        <v>7434040.8099999996</v>
      </c>
      <c r="K13" s="4">
        <f>335549.03</f>
        <v>335549.03</v>
      </c>
      <c r="L13" s="4"/>
      <c r="M13" s="4">
        <f>67854.26</f>
        <v>67854.259999999995</v>
      </c>
      <c r="N13" s="4"/>
      <c r="O13" s="4">
        <f t="shared" si="2"/>
        <v>403403.29000000004</v>
      </c>
      <c r="P13" s="4">
        <f>3684679.91</f>
        <v>3684679.91</v>
      </c>
      <c r="Q13" s="4">
        <f>35626.4</f>
        <v>35626.400000000001</v>
      </c>
      <c r="R13" s="4">
        <f t="shared" si="3"/>
        <v>3720306.31</v>
      </c>
      <c r="S13" s="4">
        <v>0</v>
      </c>
      <c r="T13" s="4">
        <f>820</f>
        <v>820</v>
      </c>
      <c r="U13" s="4"/>
      <c r="V13" s="4">
        <f t="shared" si="4"/>
        <v>820</v>
      </c>
      <c r="W13" s="4"/>
      <c r="X13" s="4"/>
      <c r="Y13" s="17">
        <f>17397+18944+7584-30200</f>
        <v>13725</v>
      </c>
      <c r="Z13" s="4"/>
      <c r="AA13" s="4">
        <f t="shared" si="0"/>
        <v>11572295.41</v>
      </c>
      <c r="AB13" s="3" t="s">
        <v>66</v>
      </c>
    </row>
    <row r="14" spans="1:28" x14ac:dyDescent="0.55000000000000004">
      <c r="A14" s="2">
        <v>10777</v>
      </c>
      <c r="B14" s="3" t="s">
        <v>28</v>
      </c>
      <c r="C14" s="4">
        <f>13433188.8</f>
        <v>13433188.800000001</v>
      </c>
      <c r="D14" s="4"/>
      <c r="E14" s="4"/>
      <c r="F14" s="4"/>
      <c r="G14" s="4"/>
      <c r="H14" s="4"/>
      <c r="I14" s="4"/>
      <c r="J14" s="4">
        <f t="shared" si="1"/>
        <v>13433188.800000001</v>
      </c>
      <c r="K14" s="4">
        <f>489172.05</f>
        <v>489172.05</v>
      </c>
      <c r="L14" s="4">
        <v>5709.06</v>
      </c>
      <c r="M14" s="4">
        <f>95045.68</f>
        <v>95045.68</v>
      </c>
      <c r="N14" s="4"/>
      <c r="O14" s="4">
        <f t="shared" si="2"/>
        <v>589926.79</v>
      </c>
      <c r="P14" s="4">
        <f>5738307.39</f>
        <v>5738307.3899999997</v>
      </c>
      <c r="Q14" s="4">
        <f>56777.6</f>
        <v>56777.599999999999</v>
      </c>
      <c r="R14" s="4">
        <f t="shared" si="3"/>
        <v>5795084.9899999993</v>
      </c>
      <c r="S14" s="4">
        <f>2251.8</f>
        <v>2251.8000000000002</v>
      </c>
      <c r="T14" s="4">
        <f>3440</f>
        <v>3440</v>
      </c>
      <c r="U14" s="4"/>
      <c r="V14" s="4">
        <f t="shared" si="4"/>
        <v>5691.8</v>
      </c>
      <c r="W14" s="4"/>
      <c r="X14" s="4"/>
      <c r="Y14" s="17">
        <f>11813+3494+8515-19038</f>
        <v>4784</v>
      </c>
      <c r="Z14" s="4"/>
      <c r="AA14" s="4">
        <f t="shared" si="0"/>
        <v>19828676.379999999</v>
      </c>
      <c r="AB14" s="3" t="s">
        <v>67</v>
      </c>
    </row>
    <row r="15" spans="1:28" x14ac:dyDescent="0.55000000000000004">
      <c r="A15" s="2">
        <v>10778</v>
      </c>
      <c r="B15" s="3" t="s">
        <v>29</v>
      </c>
      <c r="C15" s="4">
        <f>3848413.71</f>
        <v>3848413.71</v>
      </c>
      <c r="D15" s="4">
        <f>90.43</f>
        <v>90.43</v>
      </c>
      <c r="E15" s="4">
        <f>102404.17</f>
        <v>102404.17</v>
      </c>
      <c r="F15" s="4">
        <f>821247.26</f>
        <v>821247.26</v>
      </c>
      <c r="G15" s="4">
        <f>87701.41+40656.14</f>
        <v>128357.55</v>
      </c>
      <c r="H15" s="4">
        <v>-201391</v>
      </c>
      <c r="I15" s="4">
        <f>-1371966.76</f>
        <v>-1371966.76</v>
      </c>
      <c r="J15" s="4">
        <f t="shared" si="1"/>
        <v>3327155.3600000003</v>
      </c>
      <c r="K15" s="17">
        <f>133670.97</f>
        <v>133670.97</v>
      </c>
      <c r="L15" s="17"/>
      <c r="M15" s="17">
        <v>45901.37</v>
      </c>
      <c r="N15" s="17">
        <f>178925.96</f>
        <v>178925.96</v>
      </c>
      <c r="O15" s="4">
        <f t="shared" si="2"/>
        <v>358498.3</v>
      </c>
      <c r="P15" s="4">
        <f>1804167.52</f>
        <v>1804167.52</v>
      </c>
      <c r="Q15" s="4">
        <f>17009.6</f>
        <v>17009.599999999999</v>
      </c>
      <c r="R15" s="4">
        <f t="shared" si="3"/>
        <v>1821177.12</v>
      </c>
      <c r="S15" s="4">
        <f>5000+270+1746+5233.55+1500</f>
        <v>13749.55</v>
      </c>
      <c r="T15" s="4">
        <f>1540</f>
        <v>1540</v>
      </c>
      <c r="U15" s="4"/>
      <c r="V15" s="4">
        <f t="shared" si="4"/>
        <v>15289.55</v>
      </c>
      <c r="W15" s="4"/>
      <c r="X15" s="4"/>
      <c r="Y15" s="4">
        <f>6325</f>
        <v>6325</v>
      </c>
      <c r="Z15" s="4"/>
      <c r="AA15" s="4">
        <f t="shared" si="0"/>
        <v>5528445.3300000001</v>
      </c>
      <c r="AB15" s="3" t="s">
        <v>68</v>
      </c>
    </row>
    <row r="16" spans="1:28" x14ac:dyDescent="0.55000000000000004">
      <c r="A16" s="2">
        <v>10779</v>
      </c>
      <c r="B16" s="3" t="s">
        <v>30</v>
      </c>
      <c r="C16" s="4">
        <f>9528862.33</f>
        <v>9528862.3300000001</v>
      </c>
      <c r="D16" s="4"/>
      <c r="E16" s="4"/>
      <c r="F16" s="4"/>
      <c r="G16" s="4"/>
      <c r="H16" s="4"/>
      <c r="I16" s="4"/>
      <c r="J16" s="4">
        <f t="shared" si="1"/>
        <v>9528862.3300000001</v>
      </c>
      <c r="K16" s="4">
        <f>318280.89</f>
        <v>318280.89</v>
      </c>
      <c r="L16" s="4"/>
      <c r="M16" s="4">
        <f>209541.48</f>
        <v>209541.48</v>
      </c>
      <c r="N16" s="4"/>
      <c r="O16" s="4">
        <f t="shared" si="2"/>
        <v>527822.37</v>
      </c>
      <c r="P16" s="4">
        <f>4359891.11</f>
        <v>4359891.1100000003</v>
      </c>
      <c r="Q16" s="4">
        <f>42768</f>
        <v>42768</v>
      </c>
      <c r="R16" s="4">
        <f t="shared" si="3"/>
        <v>4402659.1100000003</v>
      </c>
      <c r="S16" s="4">
        <f>500+3955.7+35105.87+5455.7</f>
        <v>45017.27</v>
      </c>
      <c r="T16" s="4">
        <f>3260</f>
        <v>3260</v>
      </c>
      <c r="U16" s="4"/>
      <c r="V16" s="4">
        <f t="shared" si="4"/>
        <v>48277.27</v>
      </c>
      <c r="W16" s="4"/>
      <c r="X16" s="4"/>
      <c r="Y16" s="17">
        <v>0</v>
      </c>
      <c r="Z16" s="4"/>
      <c r="AA16" s="4">
        <f t="shared" si="0"/>
        <v>14507621.079999998</v>
      </c>
      <c r="AB16" s="3" t="s">
        <v>69</v>
      </c>
    </row>
    <row r="17" spans="1:28" x14ac:dyDescent="0.55000000000000004">
      <c r="A17" s="2">
        <v>10780</v>
      </c>
      <c r="B17" s="3" t="s">
        <v>31</v>
      </c>
      <c r="C17" s="4">
        <f>4045328.8</f>
        <v>4045328.8</v>
      </c>
      <c r="D17" s="4"/>
      <c r="E17" s="4"/>
      <c r="F17" s="4"/>
      <c r="G17" s="4"/>
      <c r="H17" s="4"/>
      <c r="I17" s="4"/>
      <c r="J17" s="4">
        <f t="shared" si="1"/>
        <v>4045328.8</v>
      </c>
      <c r="K17" s="4">
        <f>190761.89</f>
        <v>190761.89</v>
      </c>
      <c r="L17" s="4"/>
      <c r="M17" s="4">
        <f>89381.29</f>
        <v>89381.29</v>
      </c>
      <c r="N17" s="4"/>
      <c r="O17" s="4">
        <f t="shared" si="2"/>
        <v>280143.18</v>
      </c>
      <c r="P17" s="4">
        <f>1984652.1</f>
        <v>1984652.1</v>
      </c>
      <c r="Q17" s="4">
        <f>21146.4</f>
        <v>21146.400000000001</v>
      </c>
      <c r="R17" s="4">
        <f t="shared" si="3"/>
        <v>2005798.5</v>
      </c>
      <c r="S17" s="4">
        <f>3079.38</f>
        <v>3079.38</v>
      </c>
      <c r="T17" s="4">
        <f>840</f>
        <v>840</v>
      </c>
      <c r="U17" s="4"/>
      <c r="V17" s="4">
        <f t="shared" si="4"/>
        <v>3919.38</v>
      </c>
      <c r="W17" s="4"/>
      <c r="X17" s="4"/>
      <c r="Y17" s="4">
        <f>13499</f>
        <v>13499</v>
      </c>
      <c r="Z17" s="4"/>
      <c r="AA17" s="4">
        <f t="shared" si="0"/>
        <v>6348688.8599999994</v>
      </c>
      <c r="AB17" s="3"/>
    </row>
    <row r="18" spans="1:28" x14ac:dyDescent="0.55000000000000004">
      <c r="A18" s="2">
        <v>10781</v>
      </c>
      <c r="B18" s="3" t="s">
        <v>32</v>
      </c>
      <c r="C18" s="4">
        <v>-569317.48</v>
      </c>
      <c r="D18" s="4"/>
      <c r="E18" s="4"/>
      <c r="F18" s="4">
        <f>816099.79</f>
        <v>816099.79</v>
      </c>
      <c r="G18" s="4">
        <f>71853.23+38897.42</f>
        <v>110750.65</v>
      </c>
      <c r="H18" s="4">
        <v>-67976.25</v>
      </c>
      <c r="I18" s="4"/>
      <c r="J18" s="4">
        <f t="shared" si="1"/>
        <v>289556.71000000008</v>
      </c>
      <c r="K18" s="17">
        <f>170913.12</f>
        <v>170913.12</v>
      </c>
      <c r="L18" s="17"/>
      <c r="M18" s="17">
        <f>29754.45</f>
        <v>29754.45</v>
      </c>
      <c r="N18" s="17"/>
      <c r="O18" s="4">
        <f t="shared" si="2"/>
        <v>200667.57</v>
      </c>
      <c r="P18" s="4">
        <f>730160.97</f>
        <v>730160.97</v>
      </c>
      <c r="Q18" s="4">
        <f>8167.2</f>
        <v>8167.2</v>
      </c>
      <c r="R18" s="4">
        <f t="shared" si="3"/>
        <v>738328.16999999993</v>
      </c>
      <c r="S18" s="4">
        <f>840+26698.3+2180+840+20057.8</f>
        <v>50616.1</v>
      </c>
      <c r="T18" s="4">
        <f>540</f>
        <v>540</v>
      </c>
      <c r="U18" s="4">
        <f>23853.36</f>
        <v>23853.360000000001</v>
      </c>
      <c r="V18" s="4">
        <f t="shared" si="4"/>
        <v>75009.459999999992</v>
      </c>
      <c r="W18" s="4">
        <f>4169518.14</f>
        <v>4169518.14</v>
      </c>
      <c r="X18" s="4"/>
      <c r="Y18" s="4">
        <f>2683</f>
        <v>2683</v>
      </c>
      <c r="Z18" s="4"/>
      <c r="AA18" s="4">
        <f t="shared" si="0"/>
        <v>5475763.0499999998</v>
      </c>
      <c r="AB18" s="3" t="s">
        <v>70</v>
      </c>
    </row>
    <row r="19" spans="1:28" ht="27" thickBot="1" x14ac:dyDescent="0.6">
      <c r="B19" s="6" t="s">
        <v>33</v>
      </c>
      <c r="C19" s="7">
        <f>SUM(C3:C18)</f>
        <v>131891839.02</v>
      </c>
      <c r="D19" s="7">
        <f t="shared" ref="D19:AA19" si="5">SUM(D3:D18)</f>
        <v>90.43</v>
      </c>
      <c r="E19" s="7">
        <f t="shared" si="5"/>
        <v>102404.17</v>
      </c>
      <c r="F19" s="7">
        <f t="shared" si="5"/>
        <v>1637347.05</v>
      </c>
      <c r="G19" s="7">
        <f t="shared" si="5"/>
        <v>239108.2</v>
      </c>
      <c r="H19" s="7">
        <f t="shared" si="5"/>
        <v>-269367.25</v>
      </c>
      <c r="I19" s="7">
        <f t="shared" si="5"/>
        <v>-1371966.76</v>
      </c>
      <c r="J19" s="7">
        <f t="shared" si="5"/>
        <v>132229454.86</v>
      </c>
      <c r="K19" s="7">
        <f t="shared" si="5"/>
        <v>18109497.940000001</v>
      </c>
      <c r="L19" s="7">
        <f t="shared" si="5"/>
        <v>1258156.2</v>
      </c>
      <c r="M19" s="7">
        <f t="shared" si="5"/>
        <v>5187616.8600000003</v>
      </c>
      <c r="N19" s="7">
        <f t="shared" si="5"/>
        <v>178925.96</v>
      </c>
      <c r="O19" s="7">
        <f t="shared" si="5"/>
        <v>24734196.960000001</v>
      </c>
      <c r="P19" s="7">
        <f t="shared" si="5"/>
        <v>71547402.900000006</v>
      </c>
      <c r="Q19" s="7">
        <f t="shared" si="5"/>
        <v>684690.79999999981</v>
      </c>
      <c r="R19" s="7">
        <f t="shared" si="5"/>
        <v>72232093.700000003</v>
      </c>
      <c r="S19" s="7">
        <f t="shared" si="5"/>
        <v>6439396.0399999982</v>
      </c>
      <c r="T19" s="7">
        <f t="shared" si="5"/>
        <v>62820</v>
      </c>
      <c r="U19" s="7">
        <f t="shared" si="5"/>
        <v>144709.52000000002</v>
      </c>
      <c r="V19" s="7">
        <f t="shared" si="5"/>
        <v>6646925.5599999996</v>
      </c>
      <c r="W19" s="7">
        <f t="shared" si="5"/>
        <v>7669518.1400000006</v>
      </c>
      <c r="X19" s="7">
        <f t="shared" si="5"/>
        <v>17363489.190000001</v>
      </c>
      <c r="Y19" s="7">
        <f t="shared" si="5"/>
        <v>859227</v>
      </c>
      <c r="Z19" s="7">
        <f t="shared" si="5"/>
        <v>1692311</v>
      </c>
      <c r="AA19" s="7">
        <f t="shared" si="5"/>
        <v>263427216.41000003</v>
      </c>
    </row>
    <row r="20" spans="1:28" ht="27" thickTop="1" x14ac:dyDescent="0.55000000000000004">
      <c r="AA20" s="11">
        <f t="shared" ref="AA20:AA34" si="6">SUM(K20:Z20)</f>
        <v>0</v>
      </c>
    </row>
    <row r="21" spans="1:28" x14ac:dyDescent="0.55000000000000004">
      <c r="AA21" s="11">
        <f t="shared" si="6"/>
        <v>0</v>
      </c>
    </row>
    <row r="22" spans="1:28" x14ac:dyDescent="0.55000000000000004">
      <c r="AA22" s="11">
        <f t="shared" si="6"/>
        <v>0</v>
      </c>
    </row>
    <row r="23" spans="1:28" x14ac:dyDescent="0.55000000000000004">
      <c r="AA23" s="11">
        <f t="shared" si="6"/>
        <v>0</v>
      </c>
    </row>
    <row r="24" spans="1:28" x14ac:dyDescent="0.55000000000000004">
      <c r="AA24" s="11">
        <f t="shared" si="6"/>
        <v>0</v>
      </c>
    </row>
    <row r="25" spans="1:28" x14ac:dyDescent="0.55000000000000004">
      <c r="AA25" s="11">
        <f t="shared" si="6"/>
        <v>0</v>
      </c>
    </row>
    <row r="26" spans="1:28" x14ac:dyDescent="0.55000000000000004">
      <c r="AA26" s="11">
        <f t="shared" si="6"/>
        <v>0</v>
      </c>
    </row>
    <row r="27" spans="1:28" x14ac:dyDescent="0.55000000000000004">
      <c r="AA27" s="11">
        <f t="shared" si="6"/>
        <v>0</v>
      </c>
    </row>
    <row r="28" spans="1:28" x14ac:dyDescent="0.55000000000000004">
      <c r="AA28" s="11">
        <f t="shared" si="6"/>
        <v>0</v>
      </c>
    </row>
    <row r="29" spans="1:28" x14ac:dyDescent="0.55000000000000004">
      <c r="AA29" s="11">
        <f t="shared" si="6"/>
        <v>0</v>
      </c>
    </row>
    <row r="30" spans="1:28" x14ac:dyDescent="0.55000000000000004">
      <c r="AA30" s="11">
        <f t="shared" si="6"/>
        <v>0</v>
      </c>
    </row>
    <row r="31" spans="1:28" x14ac:dyDescent="0.55000000000000004">
      <c r="AA31" s="11">
        <f t="shared" si="6"/>
        <v>0</v>
      </c>
    </row>
    <row r="32" spans="1:28" x14ac:dyDescent="0.55000000000000004">
      <c r="AA32" s="11">
        <f t="shared" si="6"/>
        <v>0</v>
      </c>
    </row>
    <row r="33" spans="27:27" s="1" customFormat="1" x14ac:dyDescent="0.55000000000000004">
      <c r="AA33" s="11">
        <f t="shared" si="6"/>
        <v>0</v>
      </c>
    </row>
    <row r="34" spans="27:27" s="1" customFormat="1" x14ac:dyDescent="0.55000000000000004">
      <c r="AA34" s="11">
        <f t="shared" si="6"/>
        <v>0</v>
      </c>
    </row>
  </sheetData>
  <mergeCells count="12">
    <mergeCell ref="AB1:AB2"/>
    <mergeCell ref="A1:A2"/>
    <mergeCell ref="B1:B2"/>
    <mergeCell ref="C1:J1"/>
    <mergeCell ref="K1:O1"/>
    <mergeCell ref="P1:R1"/>
    <mergeCell ref="S1:V1"/>
    <mergeCell ref="W1:W2"/>
    <mergeCell ref="X1:X2"/>
    <mergeCell ref="Y1:Y2"/>
    <mergeCell ref="Z1:Z2"/>
    <mergeCell ref="AA1:A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ต.ค.59</vt:lpstr>
      <vt:lpstr>DATA ต.ค.59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SSJ</cp:lastModifiedBy>
  <cp:lastPrinted>2016-12-26T06:57:35Z</cp:lastPrinted>
  <dcterms:created xsi:type="dcterms:W3CDTF">2016-12-26T03:58:13Z</dcterms:created>
  <dcterms:modified xsi:type="dcterms:W3CDTF">2016-12-26T07:21:10Z</dcterms:modified>
</cp:coreProperties>
</file>